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AC57" i="1" l="1"/>
  <c r="AC58" i="1"/>
  <c r="B12" i="1"/>
  <c r="J16" i="1" l="1"/>
  <c r="B6" i="1" l="1"/>
  <c r="U60" i="1"/>
  <c r="U59" i="1"/>
  <c r="U27" i="1" l="1"/>
  <c r="U21" i="1"/>
  <c r="D9" i="1" l="1"/>
  <c r="C9" i="1"/>
  <c r="B9" i="1"/>
  <c r="D10" i="1"/>
  <c r="D11" i="1"/>
  <c r="C11" i="1"/>
  <c r="B11" i="1"/>
  <c r="D15" i="1" l="1"/>
  <c r="C15" i="1"/>
  <c r="B15" i="1"/>
  <c r="B10" i="1"/>
  <c r="B16" i="1" s="1"/>
  <c r="B8" i="1"/>
  <c r="C12" i="1"/>
  <c r="D13" i="1"/>
  <c r="C13" i="1"/>
  <c r="B13" i="1"/>
  <c r="D14" i="1"/>
  <c r="C14" i="1"/>
  <c r="B14" i="1"/>
  <c r="D8" i="1"/>
  <c r="C8" i="1"/>
  <c r="D7" i="1"/>
  <c r="C7" i="1"/>
  <c r="B7" i="1"/>
  <c r="D6" i="1"/>
  <c r="C6" i="1"/>
  <c r="C10" i="1" l="1"/>
  <c r="D12" i="1"/>
  <c r="X61" i="1" l="1"/>
  <c r="W61" i="1"/>
  <c r="G61" i="1" l="1"/>
  <c r="E46" i="1" l="1"/>
  <c r="E44" i="1"/>
  <c r="E37" i="1"/>
  <c r="E36" i="1"/>
  <c r="AC37" i="1" l="1"/>
  <c r="AC33" i="1"/>
  <c r="Q28" i="1"/>
  <c r="Q27" i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G21" i="1"/>
  <c r="AG22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Q30" i="1" s="1"/>
  <c r="N38" i="1"/>
  <c r="J38" i="1"/>
  <c r="L38" i="1"/>
  <c r="K38" i="1"/>
  <c r="M31" i="1" s="1"/>
  <c r="H38" i="1"/>
  <c r="G38" i="1"/>
  <c r="F38" i="1"/>
  <c r="D38" i="1"/>
  <c r="C38" i="1"/>
  <c r="AE38" i="1"/>
  <c r="AL38" i="1"/>
  <c r="E21" i="1" l="1"/>
  <c r="E24" i="1"/>
  <c r="E34" i="1"/>
  <c r="AO23" i="1"/>
  <c r="AO31" i="1"/>
  <c r="Q37" i="1"/>
  <c r="Q35" i="1"/>
  <c r="AO37" i="1"/>
  <c r="AO34" i="1"/>
  <c r="O16" i="1" l="1"/>
  <c r="Q6" i="1" s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4" i="1" l="1"/>
  <c r="AP45" i="1" l="1"/>
  <c r="G16" i="1"/>
  <c r="AR58" i="1" l="1"/>
  <c r="AQ58" i="1"/>
  <c r="AP58" i="1"/>
  <c r="AL61" i="1"/>
  <c r="G50" i="1"/>
  <c r="T38" i="1"/>
  <c r="S38" i="1"/>
  <c r="AP44" i="1" l="1"/>
  <c r="AP50" i="1" s="1"/>
  <c r="J50" i="1"/>
  <c r="AR45" i="1"/>
  <c r="AQ45" i="1"/>
  <c r="AE50" i="1"/>
  <c r="AG49" i="1" s="1"/>
  <c r="AI50" i="1"/>
  <c r="AK43" i="1" s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C16" i="1"/>
  <c r="M9" i="1" l="1"/>
  <c r="M10" i="1"/>
  <c r="M13" i="1"/>
  <c r="M8" i="1"/>
  <c r="M12" i="1"/>
  <c r="M7" i="1"/>
  <c r="M11" i="1"/>
  <c r="M6" i="1"/>
  <c r="Q10" i="1"/>
  <c r="Q7" i="1"/>
  <c r="I11" i="1"/>
  <c r="I14" i="1"/>
  <c r="I15" i="1"/>
  <c r="Q13" i="1"/>
  <c r="Q15" i="1"/>
  <c r="Q11" i="1"/>
  <c r="I13" i="1"/>
  <c r="I12" i="1"/>
  <c r="V50" i="1"/>
  <c r="Z50" i="1"/>
  <c r="M16" i="1" l="1"/>
  <c r="M36" i="1"/>
  <c r="M33" i="1"/>
  <c r="M35" i="1"/>
  <c r="M24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C59" i="1" l="1"/>
  <c r="AS59" i="1"/>
  <c r="AS60" i="1"/>
  <c r="AS58" i="1"/>
  <c r="AS57" i="1"/>
  <c r="AG57" i="1"/>
  <c r="AG58" i="1"/>
  <c r="AG61" i="1" s="1"/>
  <c r="AC60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I61" i="1"/>
  <c r="Q61" i="1"/>
  <c r="K50" i="1"/>
  <c r="M46" i="1" s="1"/>
  <c r="H50" i="1"/>
  <c r="F50" i="1"/>
  <c r="D50" i="1"/>
  <c r="C50" i="1"/>
  <c r="E43" i="1" l="1"/>
  <c r="AS61" i="1"/>
  <c r="E50" i="1" l="1"/>
  <c r="AR44" i="1"/>
  <c r="AQ44" i="1"/>
  <c r="X50" i="1"/>
  <c r="W50" i="1"/>
  <c r="E33" i="1" l="1"/>
  <c r="E25" i="1"/>
  <c r="E29" i="1"/>
  <c r="E31" i="1"/>
  <c r="E32" i="1"/>
  <c r="I9" i="1"/>
  <c r="I6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s="1"/>
  <c r="U46" i="1" l="1"/>
  <c r="U44" i="1"/>
  <c r="AG43" i="1"/>
  <c r="AG50" i="1" s="1"/>
  <c r="M45" i="1"/>
  <c r="M43" i="1"/>
  <c r="I43" i="1"/>
  <c r="M44" i="1"/>
  <c r="I46" i="1"/>
  <c r="I45" i="1"/>
  <c r="AG38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<sst xmlns="http://schemas.openxmlformats.org/spreadsheetml/2006/main" count="235" uniqueCount="61">
  <si>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</si>
  <si>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</si>
  <si>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</si>
  <si>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</si>
  <si>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</si>
  <si>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</si>
  <si>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</si>
  <si>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</si>
  <si>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</si>
  <si>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</si>
  <si>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</si>
  <si>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</si>
  <si>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</si>
  <si>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</si>
  <si>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</si>
  <si>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</si>
  <si>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</si>
  <si>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</si>
  <si>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</si>
  <si>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</si>
  <si>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</si>
  <si>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</si>
  <si>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</si>
  <si>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</si>
  <si>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</si>
  <si>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</si>
  <si>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</si>
  <si>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</si>
  <si>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</si>
  <si>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</si>
  <si>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</si>
  <si>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</si>
  <si>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</si>
  <si>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</si>
  <si>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</si>
  <si>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</si>
  <si>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</si>
  <si>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</si>
  <si>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</si>
  <si>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</si>
  <si>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</si>
  <si>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</si>
  <si>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</si>
  <si>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</si>
  <si>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</si>
  <si>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</si>
  <si>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</si>
  <si>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</si>
  <si>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</si>
  <si>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</si>
  <si>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</si>
  <si>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</si>
  <si>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</si>
  <si>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</si>
  <si>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</si>
  <si>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</si>
  <si>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</si>
  <si>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</si>
  <si>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Проекты  подлписанные и одобренные Фондом</t>
  </si>
  <si>
    <t>Проекты подписанные Фондом</t>
  </si>
  <si>
    <t>по состоянию на 17.07.2020г.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</si>
</sst>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6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9" fontId="2" fillId="0" borderId="33" xfId="2" applyFont="1" applyFill="1" applyBorder="1" applyAlignment="1">
      <alignment horizontal="center" wrapText="1"/>
    </xf>
    <xf numFmtId="9" fontId="2" fillId="0" borderId="44" xfId="2" applyFont="1" applyFill="1" applyBorder="1" applyAlignment="1">
      <alignment horizontal="center" wrapText="1"/>
    </xf>
    <xf numFmtId="9" fontId="2" fillId="0" borderId="62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164" fontId="2" fillId="0" borderId="18" xfId="1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70" zoomScaleNormal="100" zoomScaleSheetLayoutView="70" workbookViewId="0">
      <selection activeCell="J8" sqref="J8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01" t="s">
        <v>21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2" t="s">
        <v>0</v>
      </c>
      <c r="B3" s="205" t="s">
        <v>58</v>
      </c>
      <c r="C3" s="206"/>
      <c r="D3" s="206"/>
      <c r="E3" s="206"/>
      <c r="F3" s="205" t="s">
        <v>59</v>
      </c>
      <c r="G3" s="206"/>
      <c r="H3" s="206"/>
      <c r="I3" s="207"/>
      <c r="J3" s="216" t="s">
        <v>40</v>
      </c>
      <c r="K3" s="216"/>
      <c r="L3" s="216"/>
      <c r="M3" s="216"/>
      <c r="N3" s="242" t="s">
        <v>57</v>
      </c>
      <c r="O3" s="216"/>
      <c r="P3" s="216"/>
      <c r="Q3" s="243"/>
      <c r="R3" s="2"/>
    </row>
    <row r="4" spans="1:20" ht="18" customHeight="1" x14ac:dyDescent="0.25">
      <c r="A4" s="203"/>
      <c r="B4" s="208" t="s">
        <v>2</v>
      </c>
      <c r="C4" s="210" t="s">
        <v>30</v>
      </c>
      <c r="D4" s="210" t="s">
        <v>36</v>
      </c>
      <c r="E4" s="212" t="s">
        <v>1</v>
      </c>
      <c r="F4" s="208" t="s">
        <v>2</v>
      </c>
      <c r="G4" s="210" t="s">
        <v>30</v>
      </c>
      <c r="H4" s="210" t="s">
        <v>36</v>
      </c>
      <c r="I4" s="214" t="s">
        <v>1</v>
      </c>
      <c r="J4" s="228" t="s">
        <v>2</v>
      </c>
      <c r="K4" s="230" t="s">
        <v>30</v>
      </c>
      <c r="L4" s="230" t="s">
        <v>36</v>
      </c>
      <c r="M4" s="232" t="s">
        <v>1</v>
      </c>
      <c r="N4" s="240" t="s">
        <v>2</v>
      </c>
      <c r="O4" s="230" t="s">
        <v>30</v>
      </c>
      <c r="P4" s="230" t="s">
        <v>36</v>
      </c>
      <c r="Q4" s="252" t="s">
        <v>1</v>
      </c>
      <c r="R4" s="2"/>
    </row>
    <row r="5" spans="1:20" ht="30" customHeight="1" thickBot="1" x14ac:dyDescent="0.3">
      <c r="A5" s="204"/>
      <c r="B5" s="209"/>
      <c r="C5" s="211"/>
      <c r="D5" s="211"/>
      <c r="E5" s="213"/>
      <c r="F5" s="209"/>
      <c r="G5" s="211"/>
      <c r="H5" s="211"/>
      <c r="I5" s="215"/>
      <c r="J5" s="229"/>
      <c r="K5" s="231"/>
      <c r="L5" s="231"/>
      <c r="M5" s="233"/>
      <c r="N5" s="241"/>
      <c r="O5" s="231"/>
      <c r="P5" s="231"/>
      <c r="Q5" s="253"/>
      <c r="R5" s="2"/>
    </row>
    <row r="6" spans="1:20" s="30" customFormat="1" ht="16.5" customHeight="1" x14ac:dyDescent="0.25">
      <c r="A6" s="6" t="s">
        <v>22</v>
      </c>
      <c r="B6" s="7">
        <f>24+N6</f>
        <v>24</v>
      </c>
      <c r="C6" s="190">
        <f>2327.15+O6</f>
        <v>2327.15</v>
      </c>
      <c r="D6" s="190">
        <f>669.804014+P6</f>
        <v>669.80401400000005</v>
      </c>
      <c r="E6" s="18">
        <f>C6/C16</f>
        <v>9.8053067498123522E-2</v>
      </c>
      <c r="F6" s="14">
        <v>24</v>
      </c>
      <c r="G6" s="190">
        <v>2327.15</v>
      </c>
      <c r="H6" s="190">
        <v>669.80401400000005</v>
      </c>
      <c r="I6" s="17">
        <f>G6/G16</f>
        <v>0.13912909917112176</v>
      </c>
      <c r="J6" s="25">
        <v>4</v>
      </c>
      <c r="K6" s="190">
        <v>950</v>
      </c>
      <c r="L6" s="190">
        <v>337.5</v>
      </c>
      <c r="M6" s="18">
        <f>K6/K16</f>
        <v>9.6907132364942056E-2</v>
      </c>
      <c r="N6" s="14"/>
      <c r="O6" s="190"/>
      <c r="P6" s="190"/>
      <c r="Q6" s="17">
        <f>O6/O16</f>
        <v>0</v>
      </c>
      <c r="R6" s="192"/>
    </row>
    <row r="7" spans="1:20" s="30" customFormat="1" x14ac:dyDescent="0.25">
      <c r="A7" s="6" t="s">
        <v>23</v>
      </c>
      <c r="B7" s="7">
        <f>26+N7</f>
        <v>27</v>
      </c>
      <c r="C7" s="190">
        <f>2578.2363+O7</f>
        <v>3178.2363</v>
      </c>
      <c r="D7" s="190">
        <f>1092.582254+P7</f>
        <v>1392.5822539999999</v>
      </c>
      <c r="E7" s="18">
        <f>C7/C16</f>
        <v>0.13391307756220541</v>
      </c>
      <c r="F7" s="14">
        <v>26</v>
      </c>
      <c r="G7" s="190">
        <v>2578.2363</v>
      </c>
      <c r="H7" s="190">
        <v>1092.5822539999999</v>
      </c>
      <c r="I7" s="17">
        <f>G7/G16</f>
        <v>0.15414034070398813</v>
      </c>
      <c r="J7" s="25">
        <v>2</v>
      </c>
      <c r="K7" s="190">
        <v>73</v>
      </c>
      <c r="L7" s="190">
        <v>28.5</v>
      </c>
      <c r="M7" s="18">
        <f>K7/K16</f>
        <v>7.4465480659376528E-3</v>
      </c>
      <c r="N7" s="14">
        <v>1</v>
      </c>
      <c r="O7" s="190">
        <v>600</v>
      </c>
      <c r="P7" s="190">
        <v>300</v>
      </c>
      <c r="Q7" s="17">
        <f>O7/O16</f>
        <v>8.5628345143730356E-2</v>
      </c>
      <c r="R7" s="192"/>
    </row>
    <row r="8" spans="1:20" s="30" customFormat="1" x14ac:dyDescent="0.25">
      <c r="A8" s="6" t="s">
        <v>19</v>
      </c>
      <c r="B8" s="7">
        <f>29+N8</f>
        <v>33</v>
      </c>
      <c r="C8" s="193">
        <f>4759.278+O8</f>
        <v>6643.8035239999999</v>
      </c>
      <c r="D8" s="193">
        <f>2219.626836+P8</f>
        <v>3134.221716</v>
      </c>
      <c r="E8" s="18">
        <f>C8/C16</f>
        <v>0.27993267102809999</v>
      </c>
      <c r="F8" s="14">
        <v>29</v>
      </c>
      <c r="G8" s="190">
        <v>4759.2780000000002</v>
      </c>
      <c r="H8" s="190">
        <v>2219.6268359999999</v>
      </c>
      <c r="I8" s="17">
        <f>G8/G16</f>
        <v>0.28453432775924975</v>
      </c>
      <c r="J8" s="25">
        <v>4</v>
      </c>
      <c r="K8" s="190">
        <v>309</v>
      </c>
      <c r="L8" s="190">
        <v>141.69153</v>
      </c>
      <c r="M8" s="18">
        <f>K8/K16</f>
        <v>3.152031989554431E-2</v>
      </c>
      <c r="N8" s="14">
        <v>4</v>
      </c>
      <c r="O8" s="190">
        <v>1884.5255239999999</v>
      </c>
      <c r="P8" s="190">
        <v>914.59487999999999</v>
      </c>
      <c r="Q8" s="17">
        <f>O8/O16</f>
        <v>0.26894800333540214</v>
      </c>
      <c r="R8" s="192"/>
    </row>
    <row r="9" spans="1:20" s="30" customFormat="1" ht="15.75" customHeight="1" x14ac:dyDescent="0.25">
      <c r="A9" s="6" t="s">
        <v>26</v>
      </c>
      <c r="B9" s="7">
        <f>25+N9</f>
        <v>26</v>
      </c>
      <c r="C9" s="190">
        <f>1703.792396+O9</f>
        <v>1713.7923960000001</v>
      </c>
      <c r="D9" s="190">
        <f>746.773029+P9</f>
        <v>750.660529</v>
      </c>
      <c r="E9" s="18">
        <f>C9/C16</f>
        <v>7.2209613253446853E-2</v>
      </c>
      <c r="F9" s="14">
        <v>25</v>
      </c>
      <c r="G9" s="190">
        <v>1703.7923960000001</v>
      </c>
      <c r="H9" s="190">
        <v>746.77302899999995</v>
      </c>
      <c r="I9" s="17">
        <f>G9/G16</f>
        <v>0.1018615479148689</v>
      </c>
      <c r="J9" s="25">
        <v>3</v>
      </c>
      <c r="K9" s="190">
        <v>2343</v>
      </c>
      <c r="L9" s="190">
        <v>1121.231239</v>
      </c>
      <c r="M9" s="18">
        <f>K9/K16</f>
        <v>0.23900359066427287</v>
      </c>
      <c r="N9" s="14">
        <v>1</v>
      </c>
      <c r="O9" s="190">
        <v>10</v>
      </c>
      <c r="P9" s="190">
        <v>3.8875000000000002</v>
      </c>
      <c r="Q9" s="17">
        <f>O9/O16</f>
        <v>1.4271390857288392E-3</v>
      </c>
      <c r="R9" s="192"/>
    </row>
    <row r="10" spans="1:20" s="30" customFormat="1" x14ac:dyDescent="0.25">
      <c r="A10" s="6" t="s">
        <v>27</v>
      </c>
      <c r="B10" s="7">
        <f>9+N10</f>
        <v>11</v>
      </c>
      <c r="C10" s="190">
        <f>874.7+O10</f>
        <v>2287.1999999999998</v>
      </c>
      <c r="D10" s="190">
        <f>293.920655+P10</f>
        <v>939.0730188</v>
      </c>
      <c r="E10" s="18">
        <f>C10/C16</f>
        <v>9.6369798243219423E-2</v>
      </c>
      <c r="F10" s="14">
        <v>9</v>
      </c>
      <c r="G10" s="190">
        <v>874.7</v>
      </c>
      <c r="H10" s="190">
        <v>293.92065500000001</v>
      </c>
      <c r="I10" s="17">
        <f>G10/G16</f>
        <v>5.2294103536506112E-2</v>
      </c>
      <c r="J10" s="25">
        <v>1</v>
      </c>
      <c r="K10" s="190">
        <v>700</v>
      </c>
      <c r="L10" s="190">
        <v>328.39514500000001</v>
      </c>
      <c r="M10" s="18">
        <f>K10/K16</f>
        <v>7.1405255426799402E-2</v>
      </c>
      <c r="N10" s="14">
        <v>2</v>
      </c>
      <c r="O10" s="190">
        <v>1412.5</v>
      </c>
      <c r="P10" s="190">
        <v>645.15236379999999</v>
      </c>
      <c r="Q10" s="17">
        <f>O10/O16</f>
        <v>0.20158339585919854</v>
      </c>
      <c r="R10" s="192"/>
    </row>
    <row r="11" spans="1:20" s="30" customFormat="1" x14ac:dyDescent="0.25">
      <c r="A11" s="6" t="s">
        <v>28</v>
      </c>
      <c r="B11" s="7">
        <f>8+N11</f>
        <v>8</v>
      </c>
      <c r="C11" s="190">
        <f>2552.401499+O11</f>
        <v>2552.4014990000001</v>
      </c>
      <c r="D11" s="190">
        <f>1001.703928+P11</f>
        <v>1001.703928</v>
      </c>
      <c r="E11" s="18">
        <f>C11/C16</f>
        <v>0.10754390411608993</v>
      </c>
      <c r="F11" s="14">
        <v>8</v>
      </c>
      <c r="G11" s="190">
        <v>2552.4014990000001</v>
      </c>
      <c r="H11" s="190">
        <v>1001.703928</v>
      </c>
      <c r="I11" s="17">
        <f>G11/G16</f>
        <v>0.15259580228128433</v>
      </c>
      <c r="J11" s="25">
        <v>3</v>
      </c>
      <c r="K11" s="190">
        <v>2590</v>
      </c>
      <c r="L11" s="190">
        <v>647.76428199999998</v>
      </c>
      <c r="M11" s="18">
        <f>K11/K16</f>
        <v>0.26419944507915782</v>
      </c>
      <c r="N11" s="14"/>
      <c r="O11" s="190"/>
      <c r="P11" s="190"/>
      <c r="Q11" s="17">
        <f>O11/O16</f>
        <v>0</v>
      </c>
      <c r="R11" s="192"/>
    </row>
    <row r="12" spans="1:20" s="30" customFormat="1" x14ac:dyDescent="0.25">
      <c r="A12" s="12" t="s">
        <v>35</v>
      </c>
      <c r="B12" s="7">
        <f>10+N12</f>
        <v>11</v>
      </c>
      <c r="C12" s="190">
        <f>1115.5+O12</f>
        <v>1215.5</v>
      </c>
      <c r="D12" s="190">
        <f>508.12774+P12</f>
        <v>558.12774000000002</v>
      </c>
      <c r="E12" s="18">
        <f>C12/C16</f>
        <v>5.1214362436443346E-2</v>
      </c>
      <c r="F12" s="14">
        <v>10</v>
      </c>
      <c r="G12" s="190">
        <v>1115.5</v>
      </c>
      <c r="H12" s="190">
        <v>508.12774000000002</v>
      </c>
      <c r="I12" s="17">
        <f>G12/G16</f>
        <v>6.6690376694835449E-2</v>
      </c>
      <c r="J12" s="25">
        <v>1</v>
      </c>
      <c r="K12" s="190">
        <v>360</v>
      </c>
      <c r="L12" s="190">
        <v>180</v>
      </c>
      <c r="M12" s="18">
        <f>K12/K16</f>
        <v>3.6722702790925411E-2</v>
      </c>
      <c r="N12" s="14">
        <v>1</v>
      </c>
      <c r="O12" s="190">
        <v>100</v>
      </c>
      <c r="P12" s="190">
        <v>50</v>
      </c>
      <c r="Q12" s="17">
        <f>O12/O16</f>
        <v>1.4271390857288391E-2</v>
      </c>
      <c r="R12" s="192"/>
    </row>
    <row r="13" spans="1:20" s="30" customFormat="1" ht="14.25" customHeight="1" x14ac:dyDescent="0.25">
      <c r="A13" s="12" t="s">
        <v>29</v>
      </c>
      <c r="B13" s="7">
        <f>1+N13</f>
        <v>1</v>
      </c>
      <c r="C13" s="190">
        <f>59.993+O13</f>
        <v>59.993000000000002</v>
      </c>
      <c r="D13" s="190">
        <f>29.9965+P13</f>
        <v>29.996500000000001</v>
      </c>
      <c r="E13" s="18">
        <f>C13/C16</f>
        <v>2.527769021513407E-3</v>
      </c>
      <c r="F13" s="14">
        <v>1</v>
      </c>
      <c r="G13" s="190">
        <v>59.993000000000002</v>
      </c>
      <c r="H13" s="190">
        <v>29.996500000000001</v>
      </c>
      <c r="I13" s="17">
        <f>G13/G16</f>
        <v>3.5866927557626741E-3</v>
      </c>
      <c r="J13" s="25">
        <v>6</v>
      </c>
      <c r="K13" s="190">
        <v>2478.1999999999998</v>
      </c>
      <c r="L13" s="190">
        <v>125.815299</v>
      </c>
      <c r="M13" s="18">
        <f>K13/K16</f>
        <v>0.25279500571242042</v>
      </c>
      <c r="N13" s="14"/>
      <c r="O13" s="190"/>
      <c r="P13" s="190"/>
      <c r="Q13" s="17">
        <f>O13/O16</f>
        <v>0</v>
      </c>
      <c r="R13" s="192"/>
    </row>
    <row r="14" spans="1:20" s="30" customFormat="1" ht="18" customHeight="1" x14ac:dyDescent="0.25">
      <c r="A14" s="12" t="s">
        <v>32</v>
      </c>
      <c r="B14" s="7">
        <f>3+N14</f>
        <v>4</v>
      </c>
      <c r="C14" s="190">
        <f>110+O14</f>
        <v>3110</v>
      </c>
      <c r="D14" s="190">
        <f>55+P14</f>
        <v>1555</v>
      </c>
      <c r="E14" s="18">
        <f>C14/C16</f>
        <v>0.13103798204635031</v>
      </c>
      <c r="F14" s="14">
        <v>3</v>
      </c>
      <c r="G14" s="190">
        <v>110</v>
      </c>
      <c r="H14" s="190">
        <v>55</v>
      </c>
      <c r="I14" s="17">
        <f>G14/G16</f>
        <v>6.5763706288049298E-3</v>
      </c>
      <c r="J14" s="25"/>
      <c r="K14" s="190"/>
      <c r="L14" s="190"/>
      <c r="M14" s="18"/>
      <c r="N14" s="14">
        <v>1</v>
      </c>
      <c r="O14" s="190">
        <v>3000</v>
      </c>
      <c r="P14" s="190">
        <v>1500</v>
      </c>
      <c r="Q14" s="17">
        <f>O14/O16</f>
        <v>0.42814172571865178</v>
      </c>
      <c r="R14" s="192"/>
    </row>
    <row r="15" spans="1:20" s="30" customFormat="1" ht="18" customHeight="1" x14ac:dyDescent="0.25">
      <c r="A15" s="12" t="s">
        <v>51</v>
      </c>
      <c r="B15" s="7">
        <f>5+N15</f>
        <v>5</v>
      </c>
      <c r="C15" s="190">
        <f>645.5+O15</f>
        <v>645.5</v>
      </c>
      <c r="D15" s="190">
        <f>258.0054+P15</f>
        <v>258.00540000000001</v>
      </c>
      <c r="E15" s="18">
        <f>C15/C16</f>
        <v>2.7197754794507759E-2</v>
      </c>
      <c r="F15" s="14">
        <v>5</v>
      </c>
      <c r="G15" s="190">
        <v>645.5</v>
      </c>
      <c r="H15" s="190">
        <v>258.00540000000001</v>
      </c>
      <c r="I15" s="17">
        <f>G15/G16</f>
        <v>3.859133855357802E-2</v>
      </c>
      <c r="J15" s="25"/>
      <c r="K15" s="190"/>
      <c r="L15" s="190"/>
      <c r="M15" s="18"/>
      <c r="N15" s="14"/>
      <c r="O15" s="190"/>
      <c r="P15" s="190"/>
      <c r="Q15" s="17">
        <f>O15/O16</f>
        <v>0</v>
      </c>
      <c r="R15" s="192"/>
    </row>
    <row r="16" spans="1:20" ht="29.25" customHeight="1" thickBot="1" x14ac:dyDescent="0.3">
      <c r="A16" s="136" t="s">
        <v>3</v>
      </c>
      <c r="B16" s="137">
        <f>SUM(B6:B15)</f>
        <v>150</v>
      </c>
      <c r="C16" s="138">
        <f t="shared" ref="C16:Q16" si="0">SUM(C6:C15)</f>
        <v>23733.576719000001</v>
      </c>
      <c r="D16" s="138">
        <f>SUM(D6:D15)</f>
        <v>10289.175099799999</v>
      </c>
      <c r="E16" s="139">
        <f t="shared" si="0"/>
        <v>1</v>
      </c>
      <c r="F16" s="137">
        <f t="shared" si="0"/>
        <v>140</v>
      </c>
      <c r="G16" s="138">
        <f>SUM(G6:G15)</f>
        <v>16726.551195</v>
      </c>
      <c r="H16" s="138">
        <f>SUM(H6:H15)</f>
        <v>6875.5403559999995</v>
      </c>
      <c r="I16" s="140">
        <f t="shared" si="0"/>
        <v>1</v>
      </c>
      <c r="J16" s="166">
        <f>SUM(J6:J15)</f>
        <v>24</v>
      </c>
      <c r="K16" s="142">
        <f t="shared" si="0"/>
        <v>9803.2000000000007</v>
      </c>
      <c r="L16" s="143">
        <f t="shared" si="0"/>
        <v>2910.8974949999997</v>
      </c>
      <c r="M16" s="178">
        <f>SUM(M6:M15)</f>
        <v>0.99999999999999989</v>
      </c>
      <c r="N16" s="141">
        <f t="shared" si="0"/>
        <v>10</v>
      </c>
      <c r="O16" s="142">
        <f>SUM(O6:O15)</f>
        <v>7007.0255239999997</v>
      </c>
      <c r="P16" s="143">
        <f t="shared" si="0"/>
        <v>3413.6347438000003</v>
      </c>
      <c r="Q16" s="144">
        <f t="shared" si="0"/>
        <v>1</v>
      </c>
      <c r="R16" s="2"/>
    </row>
    <row r="17" spans="1:45" x14ac:dyDescent="0.25">
      <c r="A17" s="3"/>
      <c r="B17" s="3"/>
      <c r="C17" s="177"/>
      <c r="D17" s="177"/>
      <c r="E17" s="3"/>
      <c r="F17" s="3"/>
      <c r="G17" s="177"/>
      <c r="H17" s="177"/>
      <c r="I17" s="3"/>
      <c r="J17" s="3"/>
      <c r="K17" s="3"/>
      <c r="L17" s="3"/>
      <c r="M17" s="3"/>
      <c r="N17" s="3"/>
      <c r="O17" s="177"/>
      <c r="P17" s="177"/>
      <c r="Q17" s="3"/>
      <c r="R17" s="3"/>
      <c r="S17" s="3"/>
      <c r="T17" s="3"/>
    </row>
    <row r="18" spans="1:45" ht="30.75" customHeight="1" thickBot="1" x14ac:dyDescent="0.3">
      <c r="A18" s="201" t="s">
        <v>53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5" t="s">
        <v>4</v>
      </c>
      <c r="B19" s="217" t="s">
        <v>22</v>
      </c>
      <c r="C19" s="218"/>
      <c r="D19" s="218"/>
      <c r="E19" s="219"/>
      <c r="F19" s="217" t="s">
        <v>23</v>
      </c>
      <c r="G19" s="218"/>
      <c r="H19" s="218"/>
      <c r="I19" s="219"/>
      <c r="J19" s="205" t="s">
        <v>19</v>
      </c>
      <c r="K19" s="206"/>
      <c r="L19" s="206"/>
      <c r="M19" s="207"/>
      <c r="N19" s="217" t="s">
        <v>31</v>
      </c>
      <c r="O19" s="218"/>
      <c r="P19" s="218"/>
      <c r="Q19" s="219"/>
      <c r="R19" s="217" t="s">
        <v>28</v>
      </c>
      <c r="S19" s="218"/>
      <c r="T19" s="218"/>
      <c r="U19" s="219"/>
      <c r="V19" s="218" t="s">
        <v>39</v>
      </c>
      <c r="W19" s="218"/>
      <c r="X19" s="218"/>
      <c r="Y19" s="219"/>
      <c r="Z19" s="218" t="s">
        <v>27</v>
      </c>
      <c r="AA19" s="218"/>
      <c r="AB19" s="218"/>
      <c r="AC19" s="218"/>
      <c r="AD19" s="220" t="s">
        <v>38</v>
      </c>
      <c r="AE19" s="221"/>
      <c r="AF19" s="221"/>
      <c r="AG19" s="221"/>
      <c r="AH19" s="217" t="s">
        <v>29</v>
      </c>
      <c r="AI19" s="218"/>
      <c r="AJ19" s="218"/>
      <c r="AK19" s="219"/>
      <c r="AL19" s="218" t="s">
        <v>52</v>
      </c>
      <c r="AM19" s="218"/>
      <c r="AN19" s="218"/>
      <c r="AO19" s="218"/>
      <c r="AP19" s="220" t="s">
        <v>20</v>
      </c>
      <c r="AQ19" s="221"/>
      <c r="AR19" s="221"/>
      <c r="AS19" s="259"/>
    </row>
    <row r="20" spans="1:45" ht="55.5" customHeight="1" x14ac:dyDescent="0.25">
      <c r="A20" s="226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1</v>
      </c>
      <c r="C21" s="8">
        <v>130</v>
      </c>
      <c r="D21" s="33">
        <v>6.5088140000000001</v>
      </c>
      <c r="E21" s="17">
        <f>C21/C38</f>
        <v>5.5862320864576841E-2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2.8953971589808371E-2</v>
      </c>
      <c r="N21" s="14">
        <v>3</v>
      </c>
      <c r="O21" s="8">
        <v>139.5</v>
      </c>
      <c r="P21" s="33">
        <v>47.903433999999997</v>
      </c>
      <c r="Q21" s="17">
        <f>O21/O38</f>
        <v>8.1876172430106336E-2</v>
      </c>
      <c r="R21" s="14">
        <v>2</v>
      </c>
      <c r="S21" s="8">
        <v>1210</v>
      </c>
      <c r="T21" s="8">
        <v>494</v>
      </c>
      <c r="U21" s="17">
        <f>S21/S38</f>
        <v>0.47406334797799771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0.17194466674288331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13</v>
      </c>
      <c r="AQ21" s="8">
        <f>C21+G21+K21+O21+S21+AA21+AI21+AE21+W21+AM21</f>
        <v>2167.6999999999998</v>
      </c>
      <c r="AR21" s="33">
        <f>D21+H21+L21+P21+T21+AB21+AJ21+AF21+X21+AN21</f>
        <v>837.33062500000005</v>
      </c>
      <c r="AS21" s="17">
        <f>AQ21/AQ38</f>
        <v>0.12959635101873132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7.3693788269135752E-2</v>
      </c>
      <c r="J22" s="14">
        <v>8</v>
      </c>
      <c r="K22" s="8">
        <v>781.07799999999997</v>
      </c>
      <c r="L22" s="33">
        <v>321.19926299999997</v>
      </c>
      <c r="M22" s="17">
        <f>K22/K38</f>
        <v>0.16411691016998795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9.1459929118554939E-2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1">J22+F22+B22+R22+N22+Z22+AH22+AD22+V22+AL22</f>
        <v>12</v>
      </c>
      <c r="AQ22" s="8">
        <f t="shared" ref="AQ22:AQ37" si="2">C22+G22+K22+O22+S22+AA22+AI22+AE22+W22+AM22</f>
        <v>1121.078</v>
      </c>
      <c r="AR22" s="33">
        <f t="shared" ref="AR22:AR37" si="3">D22+H22+L22+P22+T22+AB22+AJ22+AF22+X22+AN22</f>
        <v>470.19926299999997</v>
      </c>
      <c r="AS22" s="17">
        <f>AQ22/AQ38</f>
        <v>6.7023858470903391E-2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2.9089653264132532E-2</v>
      </c>
      <c r="J23" s="14">
        <v>2</v>
      </c>
      <c r="K23" s="8">
        <v>102</v>
      </c>
      <c r="L23" s="33">
        <v>50.795000000000002</v>
      </c>
      <c r="M23" s="17">
        <f>K23/K38</f>
        <v>2.1431822221773974E-2</v>
      </c>
      <c r="N23" s="14">
        <v>2</v>
      </c>
      <c r="O23" s="8">
        <v>38</v>
      </c>
      <c r="P23" s="33">
        <v>18.247800000000002</v>
      </c>
      <c r="Q23" s="17">
        <f>O23/O38</f>
        <v>2.2303186755154414E-2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0.22864982279638735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1"/>
        <v>10</v>
      </c>
      <c r="AQ23" s="8">
        <f t="shared" si="2"/>
        <v>535</v>
      </c>
      <c r="AR23" s="33">
        <f t="shared" si="3"/>
        <v>221.5428</v>
      </c>
      <c r="AS23" s="17">
        <f>AQ23/AQ38</f>
        <v>3.1985075331005794E-2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0.13467116429967985</v>
      </c>
      <c r="F24" s="14">
        <v>1</v>
      </c>
      <c r="G24" s="8">
        <v>1000</v>
      </c>
      <c r="H24" s="33">
        <v>467</v>
      </c>
      <c r="I24" s="17">
        <f>G24/G38</f>
        <v>0.38786204352176712</v>
      </c>
      <c r="J24" s="14">
        <v>1</v>
      </c>
      <c r="K24" s="8">
        <v>5</v>
      </c>
      <c r="L24" s="33">
        <v>2.2654939999999999</v>
      </c>
      <c r="M24" s="17">
        <f>K24/K38</f>
        <v>1.0505795206751949E-3</v>
      </c>
      <c r="N24" s="14">
        <v>2</v>
      </c>
      <c r="O24" s="8">
        <v>66</v>
      </c>
      <c r="P24" s="33">
        <v>22.346543</v>
      </c>
      <c r="Q24" s="17">
        <f>O24/O38</f>
        <v>3.8737113837899774E-2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1"/>
        <v>9</v>
      </c>
      <c r="AQ24" s="8">
        <f t="shared" si="2"/>
        <v>1404.4</v>
      </c>
      <c r="AR24" s="33">
        <f t="shared" si="3"/>
        <v>566.11203699999999</v>
      </c>
      <c r="AS24" s="17">
        <f>AQ24/AQ38</f>
        <v>8.3962317373578579E-2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2.1485508024837247E-2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7.7042095215454881E-2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1"/>
        <v>3</v>
      </c>
      <c r="AQ25" s="8">
        <f t="shared" si="2"/>
        <v>181.26373599999999</v>
      </c>
      <c r="AR25" s="33">
        <f t="shared" si="3"/>
        <v>78.131867999999997</v>
      </c>
      <c r="AS25" s="17">
        <f>AQ25/AQ38</f>
        <v>1.0836886449980461E-2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2.21083954330888E-2</v>
      </c>
      <c r="N26" s="14">
        <v>1</v>
      </c>
      <c r="O26" s="8">
        <v>48.4</v>
      </c>
      <c r="P26" s="33">
        <v>24.2</v>
      </c>
      <c r="Q26" s="17">
        <f>O26/O38</f>
        <v>2.8407216814459832E-2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1"/>
        <v>3</v>
      </c>
      <c r="AQ26" s="8">
        <f t="shared" si="2"/>
        <v>153.62</v>
      </c>
      <c r="AR26" s="33">
        <f t="shared" si="3"/>
        <v>40.200000000000003</v>
      </c>
      <c r="AS26" s="17">
        <f>AQ26/AQ38</f>
        <v>9.1842005090637582E-3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9.5995855771637356E-2</v>
      </c>
      <c r="J27" s="14">
        <v>2</v>
      </c>
      <c r="K27" s="8">
        <v>20</v>
      </c>
      <c r="L27" s="33">
        <v>5.9678000000000004</v>
      </c>
      <c r="M27" s="17">
        <f>K27/K38</f>
        <v>4.2023180827007794E-3</v>
      </c>
      <c r="N27" s="14">
        <v>2</v>
      </c>
      <c r="O27" s="8">
        <v>145</v>
      </c>
      <c r="P27" s="33">
        <v>57.570700000000002</v>
      </c>
      <c r="Q27" s="17">
        <f>O27/O38</f>
        <v>8.510426524993131E-2</v>
      </c>
      <c r="R27" s="14">
        <v>1</v>
      </c>
      <c r="S27" s="8">
        <v>600</v>
      </c>
      <c r="T27" s="33">
        <v>300</v>
      </c>
      <c r="U27" s="17">
        <f>S27/S38</f>
        <v>0.23507273453454433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44"/>
      <c r="AN27" s="44"/>
      <c r="AO27" s="18"/>
      <c r="AP27" s="48">
        <f t="shared" si="1"/>
        <v>9</v>
      </c>
      <c r="AQ27" s="8">
        <f t="shared" si="2"/>
        <v>1012.5</v>
      </c>
      <c r="AR27" s="33">
        <f t="shared" si="3"/>
        <v>412.79349999999999</v>
      </c>
      <c r="AS27" s="17">
        <f>AQ27/AQ38</f>
        <v>6.0532502378772647E-2</v>
      </c>
    </row>
    <row r="28" spans="1:45" x14ac:dyDescent="0.25">
      <c r="A28" s="24" t="s">
        <v>11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5.8179306528265064E-2</v>
      </c>
      <c r="J28" s="14">
        <v>1</v>
      </c>
      <c r="K28" s="8">
        <v>188</v>
      </c>
      <c r="L28" s="33">
        <v>94</v>
      </c>
      <c r="M28" s="17">
        <f>K28/K38</f>
        <v>3.9501789977387326E-2</v>
      </c>
      <c r="N28" s="14">
        <v>1</v>
      </c>
      <c r="O28" s="8">
        <v>31</v>
      </c>
      <c r="P28" s="33">
        <v>13.157553999999999</v>
      </c>
      <c r="Q28" s="17">
        <f>O28/O38</f>
        <v>1.8194704984468076E-2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1"/>
        <v>3</v>
      </c>
      <c r="AQ28" s="8">
        <f t="shared" si="2"/>
        <v>369</v>
      </c>
      <c r="AR28" s="33">
        <f t="shared" si="3"/>
        <v>155.93065799999999</v>
      </c>
      <c r="AS28" s="17">
        <f>AQ28/AQ38</f>
        <v>2.2060734200263811E-2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2.6169348774251765E-2</v>
      </c>
      <c r="F29" s="14">
        <v>1</v>
      </c>
      <c r="G29" s="8">
        <v>37.5</v>
      </c>
      <c r="H29" s="33">
        <v>14.625</v>
      </c>
      <c r="I29" s="17">
        <f>G29/G38</f>
        <v>1.4544826632066266E-2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1"/>
        <v>2</v>
      </c>
      <c r="AQ29" s="8">
        <f t="shared" si="2"/>
        <v>98.4</v>
      </c>
      <c r="AR29" s="33">
        <f t="shared" si="3"/>
        <v>45.075000000000003</v>
      </c>
      <c r="AS29" s="17">
        <f>AQ29/AQ38</f>
        <v>5.8828624534036826E-3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0.10856258598174261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0.20542408853431696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1"/>
        <v>8</v>
      </c>
      <c r="AQ30" s="8">
        <f t="shared" si="2"/>
        <v>987.9</v>
      </c>
      <c r="AR30" s="33">
        <f t="shared" si="3"/>
        <v>493.95</v>
      </c>
      <c r="AS30" s="17">
        <f>AQ30/AQ38</f>
        <v>5.9061786765421724E-2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0.31233483015705904</v>
      </c>
      <c r="F31" s="14">
        <v>5</v>
      </c>
      <c r="G31" s="8">
        <v>343.9803</v>
      </c>
      <c r="H31" s="33">
        <v>122.30115000000001</v>
      </c>
      <c r="I31" s="17">
        <f>G31/G38</f>
        <v>0.13341690208923052</v>
      </c>
      <c r="J31" s="14">
        <v>2</v>
      </c>
      <c r="K31" s="8">
        <v>3003.08</v>
      </c>
      <c r="L31" s="33">
        <v>1501.54</v>
      </c>
      <c r="M31" s="17">
        <f>K31/K38</f>
        <v>0.63099486938985283</v>
      </c>
      <c r="N31" s="14">
        <v>4</v>
      </c>
      <c r="O31" s="8">
        <v>450</v>
      </c>
      <c r="P31" s="33">
        <v>195.70259999999999</v>
      </c>
      <c r="Q31" s="17">
        <f>O31/O38</f>
        <v>0.26411668525840754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5.380666878113124E-3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1"/>
        <v>25</v>
      </c>
      <c r="AQ31" s="8">
        <f t="shared" si="2"/>
        <v>4997.9032999999999</v>
      </c>
      <c r="AR31" s="33">
        <f t="shared" si="3"/>
        <v>2266.4402500000001</v>
      </c>
      <c r="AS31" s="17">
        <f>AQ31/AQ38</f>
        <v>0.29880058607024756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0.14966804890101626</v>
      </c>
      <c r="F32" s="14">
        <v>1</v>
      </c>
      <c r="G32" s="8">
        <v>210</v>
      </c>
      <c r="H32" s="33">
        <v>105</v>
      </c>
      <c r="I32" s="17">
        <f>G32/G38</f>
        <v>8.1451029139571099E-2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1.6433927082745357E-2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1"/>
        <v>7</v>
      </c>
      <c r="AQ32" s="8">
        <f t="shared" si="2"/>
        <v>629.79999999999995</v>
      </c>
      <c r="AR32" s="33">
        <f t="shared" si="3"/>
        <v>288.91548999999998</v>
      </c>
      <c r="AS32" s="17">
        <f>AQ32/AQ38</f>
        <v>3.7652711109284948E-2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7.3910147605440124E-2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7.0598943789373092E-2</v>
      </c>
      <c r="N33" s="14">
        <v>3</v>
      </c>
      <c r="O33" s="8">
        <v>49.81</v>
      </c>
      <c r="P33" s="33">
        <v>8.4804999999999993</v>
      </c>
      <c r="Q33" s="17">
        <f>O33/O38</f>
        <v>2.9234782428269511E-2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7.0538470332685496E-2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1"/>
        <v>10</v>
      </c>
      <c r="AQ33" s="8">
        <f t="shared" si="2"/>
        <v>619.51</v>
      </c>
      <c r="AR33" s="33">
        <f t="shared" si="3"/>
        <v>244.57050000000001</v>
      </c>
      <c r="AS33" s="17">
        <f>AQ33/AQ38</f>
        <v>3.7037521529554016E-2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6.7464495197988947E-3</v>
      </c>
      <c r="F34" s="14">
        <v>2</v>
      </c>
      <c r="G34" s="8">
        <v>22.356000000000002</v>
      </c>
      <c r="H34" s="8">
        <v>11.178000000000001</v>
      </c>
      <c r="I34" s="17">
        <f>G34/G38</f>
        <v>8.6710438449726264E-3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8.803889508613584E-3</v>
      </c>
      <c r="R34" s="14">
        <v>2</v>
      </c>
      <c r="S34" s="8">
        <v>65</v>
      </c>
      <c r="T34" s="8">
        <v>7.6788569999999998</v>
      </c>
      <c r="U34" s="17">
        <f>S34/S38</f>
        <v>2.5466212907908969E-2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0.25105750543043331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1"/>
        <v>10</v>
      </c>
      <c r="AQ34" s="8">
        <f t="shared" si="2"/>
        <v>573.15599999999995</v>
      </c>
      <c r="AR34" s="33">
        <f t="shared" si="3"/>
        <v>233.66955000000002</v>
      </c>
      <c r="AS34" s="17">
        <f>AQ34/AQ38</f>
        <v>3.4266238946575621E-2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8.5329649574788762E-3</v>
      </c>
      <c r="J35" s="14">
        <v>3</v>
      </c>
      <c r="K35" s="8">
        <v>51.1</v>
      </c>
      <c r="L35" s="8">
        <v>22.45</v>
      </c>
      <c r="M35" s="17">
        <f>K35/K38</f>
        <v>1.0736922701300491E-2</v>
      </c>
      <c r="N35" s="14">
        <v>1</v>
      </c>
      <c r="O35" s="8">
        <v>11.818659999999999</v>
      </c>
      <c r="P35" s="8">
        <v>5.9093299999999997</v>
      </c>
      <c r="Q35" s="17">
        <f>O35/O38</f>
        <v>6.9366784519914017E-3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1"/>
        <v>6</v>
      </c>
      <c r="AQ35" s="8">
        <f t="shared" si="2"/>
        <v>84.918659999999988</v>
      </c>
      <c r="AR35" s="33">
        <f t="shared" si="3"/>
        <v>39.35933</v>
      </c>
      <c r="AS35" s="17">
        <f>AQ35/AQ38</f>
        <v>5.0768780132861091E-3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4.7268117654641943E-2</v>
      </c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6.3034771240511687E-3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1"/>
        <v>3</v>
      </c>
      <c r="AQ36" s="8">
        <f t="shared" si="2"/>
        <v>220</v>
      </c>
      <c r="AR36" s="33">
        <f t="shared" si="3"/>
        <v>31.930278999999999</v>
      </c>
      <c r="AS36" s="17">
        <f>AQ36/AQ38</f>
        <v>1.315274125760986E-2</v>
      </c>
    </row>
    <row r="37" spans="1:45" ht="15.75" thickBot="1" x14ac:dyDescent="0.3">
      <c r="A37" s="32" t="s">
        <v>50</v>
      </c>
      <c r="B37" s="185">
        <v>1</v>
      </c>
      <c r="C37" s="10">
        <v>400</v>
      </c>
      <c r="D37" s="10">
        <v>49.012450000000001</v>
      </c>
      <c r="E37" s="19">
        <f>C37/C38</f>
        <v>0.17188406419869798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0.11738519344818113</v>
      </c>
      <c r="R37" s="26">
        <v>3</v>
      </c>
      <c r="S37" s="27">
        <v>677.40149899999994</v>
      </c>
      <c r="T37" s="27">
        <v>200.025071</v>
      </c>
      <c r="U37" s="28">
        <f>S37/S38</f>
        <v>0.26539770457954898</v>
      </c>
      <c r="V37" s="25"/>
      <c r="W37" s="8"/>
      <c r="X37" s="8"/>
      <c r="Y37" s="9"/>
      <c r="Z37" s="135">
        <v>1</v>
      </c>
      <c r="AA37" s="10">
        <v>163</v>
      </c>
      <c r="AB37" s="10">
        <v>42.351685000000003</v>
      </c>
      <c r="AC37" s="11">
        <f>AA37/AA38</f>
        <v>0.18634960557905569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2"/>
        <v>1570.4014990000001</v>
      </c>
      <c r="AR37" s="33">
        <f t="shared" si="3"/>
        <v>449.38920599999994</v>
      </c>
      <c r="AS37" s="19"/>
    </row>
    <row r="38" spans="1:45" s="60" customFormat="1" ht="28.5" customHeight="1" thickBot="1" x14ac:dyDescent="0.3">
      <c r="A38" s="167" t="s">
        <v>3</v>
      </c>
      <c r="B38" s="50">
        <f>SUM(B21:B37)</f>
        <v>24</v>
      </c>
      <c r="C38" s="51">
        <f>SUM(C21:C37)</f>
        <v>2327.15</v>
      </c>
      <c r="D38" s="51">
        <f>SUM(D21:D37)</f>
        <v>669.80401400000005</v>
      </c>
      <c r="E38" s="56">
        <f t="shared" ref="E38:I38" si="4">SUM(E21:E36)</f>
        <v>0.82811593580130183</v>
      </c>
      <c r="F38" s="151">
        <f>SUM(F21:F37)</f>
        <v>26</v>
      </c>
      <c r="G38" s="152">
        <f>SUM(G21:G36)</f>
        <v>2578.2363000000005</v>
      </c>
      <c r="H38" s="152">
        <f>SUM(H21:H36)</f>
        <v>1092.5822540000001</v>
      </c>
      <c r="I38" s="160">
        <f t="shared" si="4"/>
        <v>0.99999999999999989</v>
      </c>
      <c r="J38" s="154">
        <f>SUM(J21:J37)</f>
        <v>29</v>
      </c>
      <c r="K38" s="161">
        <f>SUM(K21:K37)</f>
        <v>4759.2780000000002</v>
      </c>
      <c r="L38" s="161">
        <f>SUM(L21:L37)</f>
        <v>2219.6268359999995</v>
      </c>
      <c r="M38" s="153">
        <f t="shared" ref="M38:U38" si="5">SUM(M21:M36)</f>
        <v>1</v>
      </c>
      <c r="N38" s="154">
        <f>SUM(N21:N37)</f>
        <v>25</v>
      </c>
      <c r="O38" s="152">
        <f>SUM(O21:O37)</f>
        <v>1703.7923959999998</v>
      </c>
      <c r="P38" s="152">
        <f>SUM(P21:P37)</f>
        <v>746.77302899999995</v>
      </c>
      <c r="Q38" s="153">
        <f t="shared" si="5"/>
        <v>0.88261480655181901</v>
      </c>
      <c r="R38" s="151">
        <f>SUM(R21:R37)</f>
        <v>8</v>
      </c>
      <c r="S38" s="152">
        <f>SUM(S21:S37)</f>
        <v>2552.4014990000001</v>
      </c>
      <c r="T38" s="152">
        <f>SUM(T21:T37)</f>
        <v>1001.703928</v>
      </c>
      <c r="U38" s="150">
        <f t="shared" si="5"/>
        <v>0.73460229542045097</v>
      </c>
      <c r="V38" s="154">
        <f t="shared" ref="V38:AB38" si="6">SUM(V21:V37)</f>
        <v>3</v>
      </c>
      <c r="W38" s="157">
        <f t="shared" si="6"/>
        <v>110</v>
      </c>
      <c r="X38" s="158">
        <f>SUM(X21:X37)</f>
        <v>55</v>
      </c>
      <c r="Y38" s="159">
        <f t="shared" si="6"/>
        <v>0.18719884869629494</v>
      </c>
      <c r="Z38" s="50">
        <f t="shared" si="6"/>
        <v>9</v>
      </c>
      <c r="AA38" s="51">
        <f t="shared" si="6"/>
        <v>874.69999999999993</v>
      </c>
      <c r="AB38" s="51">
        <f t="shared" si="6"/>
        <v>293.92065500000001</v>
      </c>
      <c r="AC38" s="65">
        <f>SUM(AC21:AC36)</f>
        <v>0.81365039442094433</v>
      </c>
      <c r="AD38" s="52">
        <f>SUM(AD21:AD37)</f>
        <v>10</v>
      </c>
      <c r="AE38" s="51">
        <f>SUM(AE21:AE37)</f>
        <v>1115.5</v>
      </c>
      <c r="AF38" s="156">
        <f>SUM(AF21:AF37)</f>
        <v>508.12773999999996</v>
      </c>
      <c r="AG38" s="62">
        <f t="shared" ref="AG38:AN38" si="7">SUM(AG21:AG37)</f>
        <v>1</v>
      </c>
      <c r="AH38" s="50">
        <f t="shared" si="7"/>
        <v>1</v>
      </c>
      <c r="AI38" s="51">
        <f t="shared" si="7"/>
        <v>59.993000000000002</v>
      </c>
      <c r="AJ38" s="51">
        <f t="shared" si="7"/>
        <v>29.996500000000001</v>
      </c>
      <c r="AK38" s="56">
        <f>SUM(AK21:AK37)</f>
        <v>1</v>
      </c>
      <c r="AL38" s="57">
        <f>SUM(AL21:AL37)</f>
        <v>5</v>
      </c>
      <c r="AM38" s="53">
        <f t="shared" si="7"/>
        <v>645.5</v>
      </c>
      <c r="AN38" s="53">
        <f t="shared" si="7"/>
        <v>258.00540000000001</v>
      </c>
      <c r="AO38" s="62">
        <f>SUM(AO21:AO37)</f>
        <v>1</v>
      </c>
      <c r="AP38" s="57">
        <f>B38+F38+J38+N38+R38+Z38+AH38+AD38+V38+AL38</f>
        <v>140</v>
      </c>
      <c r="AQ38" s="58">
        <f>C38+G38+K38+O38+S38+AA38+AI38+AE38+W38+AM38</f>
        <v>16726.551195</v>
      </c>
      <c r="AR38" s="59">
        <f>D38+H38+L38+P38+T38+AB38+AJ38+AF38+X38+AN38</f>
        <v>6875.5403559999995</v>
      </c>
      <c r="AS38" s="54">
        <f>SUM(AS21:AS36)</f>
        <v>0.90611325187768343</v>
      </c>
    </row>
    <row r="39" spans="1:45" x14ac:dyDescent="0.25">
      <c r="A39" s="3"/>
      <c r="B39" s="3"/>
      <c r="C39" s="3"/>
      <c r="D39" s="3"/>
      <c r="E39" s="3"/>
      <c r="F39" s="3"/>
      <c r="G39" s="188"/>
      <c r="H39" s="188"/>
      <c r="I39" s="3"/>
      <c r="J39" s="3"/>
      <c r="K39" s="188"/>
      <c r="L39" s="188"/>
      <c r="M39" s="3"/>
      <c r="N39" s="5"/>
      <c r="O39" s="189"/>
      <c r="P39" s="18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5"/>
      <c r="AR39" s="175"/>
    </row>
    <row r="40" spans="1:45" ht="15.75" customHeight="1" thickBot="1" x14ac:dyDescent="0.3">
      <c r="A40" s="201" t="s">
        <v>54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5" t="s">
        <v>24</v>
      </c>
      <c r="B41" s="222" t="s">
        <v>22</v>
      </c>
      <c r="C41" s="223"/>
      <c r="D41" s="244"/>
      <c r="E41" s="224"/>
      <c r="F41" s="222" t="s">
        <v>23</v>
      </c>
      <c r="G41" s="223"/>
      <c r="H41" s="244"/>
      <c r="I41" s="224"/>
      <c r="J41" s="217" t="s">
        <v>19</v>
      </c>
      <c r="K41" s="218"/>
      <c r="L41" s="218"/>
      <c r="M41" s="219"/>
      <c r="N41" s="217" t="s">
        <v>31</v>
      </c>
      <c r="O41" s="218"/>
      <c r="P41" s="218"/>
      <c r="Q41" s="218"/>
      <c r="R41" s="217" t="s">
        <v>28</v>
      </c>
      <c r="S41" s="218"/>
      <c r="T41" s="218"/>
      <c r="U41" s="218"/>
      <c r="V41" s="222" t="s">
        <v>39</v>
      </c>
      <c r="W41" s="223"/>
      <c r="X41" s="223"/>
      <c r="Y41" s="224"/>
      <c r="Z41" s="218" t="s">
        <v>27</v>
      </c>
      <c r="AA41" s="218"/>
      <c r="AB41" s="218"/>
      <c r="AC41" s="218"/>
      <c r="AD41" s="217" t="s">
        <v>38</v>
      </c>
      <c r="AE41" s="218"/>
      <c r="AF41" s="218"/>
      <c r="AG41" s="219"/>
      <c r="AH41" s="218" t="s">
        <v>29</v>
      </c>
      <c r="AI41" s="218"/>
      <c r="AJ41" s="218"/>
      <c r="AK41" s="218"/>
      <c r="AL41" s="256" t="s">
        <v>52</v>
      </c>
      <c r="AM41" s="256"/>
      <c r="AN41" s="256"/>
      <c r="AO41" s="256"/>
      <c r="AP41" s="221" t="s">
        <v>20</v>
      </c>
      <c r="AQ41" s="221"/>
      <c r="AR41" s="221"/>
      <c r="AS41" s="259"/>
    </row>
    <row r="42" spans="1:45" ht="58.5" thickBot="1" x14ac:dyDescent="0.3">
      <c r="A42" s="246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20</v>
      </c>
      <c r="C43" s="8">
        <v>1485.15</v>
      </c>
      <c r="D43" s="12">
        <v>472.53275000000002</v>
      </c>
      <c r="E43" s="9">
        <f>C43/C50</f>
        <v>0.63818404486174074</v>
      </c>
      <c r="F43" s="7">
        <v>19</v>
      </c>
      <c r="G43" s="8">
        <v>1063.2363</v>
      </c>
      <c r="H43" s="8">
        <v>392.70225399999998</v>
      </c>
      <c r="I43" s="9">
        <f>G43/AQ50</f>
        <v>6.3565781589083881E-2</v>
      </c>
      <c r="J43" s="7">
        <v>22</v>
      </c>
      <c r="K43" s="8">
        <v>4319.2979999999998</v>
      </c>
      <c r="L43" s="8">
        <v>2056.3678110000001</v>
      </c>
      <c r="M43" s="9">
        <f>K43/AQ50</f>
        <v>0.25823004094778068</v>
      </c>
      <c r="N43" s="7">
        <v>20</v>
      </c>
      <c r="O43" s="8">
        <v>1488.9823960000001</v>
      </c>
      <c r="P43" s="8">
        <v>673.311286</v>
      </c>
      <c r="Q43" s="17">
        <f>O43/AQ50</f>
        <v>8.9019091780563567E-2</v>
      </c>
      <c r="R43" s="23">
        <v>6</v>
      </c>
      <c r="S43" s="22">
        <v>2030</v>
      </c>
      <c r="T43" s="35">
        <v>889.45903799999996</v>
      </c>
      <c r="U43" s="18">
        <f>S43/S50</f>
        <v>0.79532941850854166</v>
      </c>
      <c r="V43" s="14">
        <v>3</v>
      </c>
      <c r="W43" s="7">
        <v>110</v>
      </c>
      <c r="X43" s="7">
        <v>55</v>
      </c>
      <c r="Y43" s="71">
        <f>W43/AQ50</f>
        <v>6.5763706288049298E-3</v>
      </c>
      <c r="Z43" s="23">
        <v>8</v>
      </c>
      <c r="AA43" s="22">
        <v>774.7</v>
      </c>
      <c r="AB43" s="35">
        <v>274.42065500000001</v>
      </c>
      <c r="AC43" s="18">
        <f>AA43/AQ50</f>
        <v>4.6315584783047085E-2</v>
      </c>
      <c r="AD43" s="21">
        <v>8</v>
      </c>
      <c r="AE43" s="21">
        <v>635.5</v>
      </c>
      <c r="AF43" s="66">
        <v>291.91273999999999</v>
      </c>
      <c r="AG43" s="17">
        <f>AE43/AQ50</f>
        <v>3.7993486678232116E-2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9">
        <f>B43+F43+J43+N43+R43+Z43+AH43+AD43+V43+AL43</f>
        <v>112</v>
      </c>
      <c r="AQ43" s="8">
        <f>C43+G43+K43+O43+S43+AA43+AI43+AE43+W43+AM43</f>
        <v>12612.359696000001</v>
      </c>
      <c r="AR43" s="8">
        <f>D43+H43+L43+P43+T43+AB43+AJ43+AF43+X43+AN43</f>
        <v>5393.7084340000001</v>
      </c>
      <c r="AS43" s="9">
        <f>AR43/AR50</f>
        <v>0.7844777507986167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0.18993189093956125</v>
      </c>
      <c r="F44" s="7"/>
      <c r="G44" s="8"/>
      <c r="H44" s="8"/>
      <c r="I44" s="9"/>
      <c r="J44" s="7">
        <v>5</v>
      </c>
      <c r="K44" s="8">
        <v>194.98</v>
      </c>
      <c r="L44" s="8">
        <v>76.159025</v>
      </c>
      <c r="M44" s="9">
        <f>K44/AQ50</f>
        <v>1.1656915865494411E-2</v>
      </c>
      <c r="N44" s="7">
        <v>2</v>
      </c>
      <c r="O44" s="8">
        <v>60</v>
      </c>
      <c r="P44" s="8">
        <v>17.870543000000001</v>
      </c>
      <c r="Q44" s="17">
        <f>O44/O50</f>
        <v>3.5215558034454336E-2</v>
      </c>
      <c r="R44" s="25">
        <v>1</v>
      </c>
      <c r="S44" s="8">
        <v>50</v>
      </c>
      <c r="T44" s="33">
        <v>3.489957</v>
      </c>
      <c r="U44" s="18">
        <f>S44/AQ50</f>
        <v>2.9892593767295137E-3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5.9785187534590273E-3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9">
        <f>B44+F44+J44+N44+R44+Z44+AH44+V44+AD44+AL44</f>
        <v>12</v>
      </c>
      <c r="AQ44" s="8">
        <f>C44+G44+K44+O44+S44+AA44+AI44+W44</f>
        <v>846.98</v>
      </c>
      <c r="AR44" s="8">
        <f>D44+H44+L44+P44+T44+AB44+AJ44+X44</f>
        <v>265.27833900000002</v>
      </c>
      <c r="AS44" s="9">
        <f>AR44/AR50</f>
        <v>3.8582907708265078E-2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2.5647845452339228E-2</v>
      </c>
      <c r="J45" s="7">
        <v>1</v>
      </c>
      <c r="K45" s="8">
        <v>12</v>
      </c>
      <c r="L45" s="8">
        <v>5.0999999999999996</v>
      </c>
      <c r="M45" s="9">
        <f>K45/AQ50</f>
        <v>7.174222504150832E-4</v>
      </c>
      <c r="N45" s="7">
        <v>1</v>
      </c>
      <c r="O45" s="8">
        <v>15</v>
      </c>
      <c r="P45" s="8">
        <v>5.6227</v>
      </c>
      <c r="Q45" s="19">
        <f>O45/O50</f>
        <v>8.803889508613584E-3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4.7828150027672215E-3</v>
      </c>
      <c r="AH45" s="23"/>
      <c r="AI45" s="10"/>
      <c r="AJ45" s="34"/>
      <c r="AK45" s="20"/>
      <c r="AL45" s="7"/>
      <c r="AM45" s="195"/>
      <c r="AN45" s="9"/>
      <c r="AO45" s="17"/>
      <c r="AP45" s="149">
        <f>B45+F45+J45+N45+R45+V45+Z45+AD45+AH45+AL45</f>
        <v>7</v>
      </c>
      <c r="AQ45" s="8">
        <f>C45+G45+K45+O45+S45+W45+AA45+AE45+AI45</f>
        <v>536</v>
      </c>
      <c r="AR45" s="8">
        <f>D45+H45+L45+P45+T45+X45+AB45+AF45+AJ45</f>
        <v>220.9427</v>
      </c>
      <c r="AS45" s="9">
        <f>AR45/AR50</f>
        <v>3.2134594309695591E-2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0.17188406419869798</v>
      </c>
      <c r="F46" s="7">
        <v>3</v>
      </c>
      <c r="G46" s="8">
        <v>1086</v>
      </c>
      <c r="H46" s="8">
        <v>505.875</v>
      </c>
      <c r="I46" s="9">
        <f>G46/AQ50</f>
        <v>6.4926713662565028E-2</v>
      </c>
      <c r="J46" s="7">
        <v>1</v>
      </c>
      <c r="K46" s="8">
        <v>233</v>
      </c>
      <c r="L46" s="8">
        <v>82</v>
      </c>
      <c r="M46" s="9">
        <f>K46/K50</f>
        <v>4.8957005663464087E-2</v>
      </c>
      <c r="N46" s="7">
        <v>2</v>
      </c>
      <c r="O46" s="8">
        <v>139.81</v>
      </c>
      <c r="P46" s="8">
        <v>49.968499999999999</v>
      </c>
      <c r="Q46" s="19">
        <f>O46/O50</f>
        <v>8.2058119479951008E-2</v>
      </c>
      <c r="R46" s="42">
        <v>1</v>
      </c>
      <c r="S46" s="10">
        <v>472.401499</v>
      </c>
      <c r="T46" s="34">
        <v>108.75493299999999</v>
      </c>
      <c r="U46" s="20">
        <f>S46/AQ50</f>
        <v>2.8242612209336559E-2</v>
      </c>
      <c r="V46" s="70"/>
      <c r="W46" s="11"/>
      <c r="X46" s="11"/>
      <c r="Y46" s="19"/>
      <c r="Z46" s="42"/>
      <c r="AA46" s="10"/>
      <c r="AB46" s="34"/>
      <c r="AC46" s="20"/>
      <c r="AD46" s="134"/>
      <c r="AE46" s="10"/>
      <c r="AF46" s="34"/>
      <c r="AG46" s="19"/>
      <c r="AH46" s="23"/>
      <c r="AI46" s="10"/>
      <c r="AJ46" s="34"/>
      <c r="AK46" s="20"/>
      <c r="AL46" s="7"/>
      <c r="AM46" s="195"/>
      <c r="AN46" s="9"/>
      <c r="AO46" s="17"/>
      <c r="AP46" s="149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0.11571612437787572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7"/>
      <c r="AE47" s="10"/>
      <c r="AF47" s="34"/>
      <c r="AG47" s="20"/>
      <c r="AH47" s="7"/>
      <c r="AI47" s="8"/>
      <c r="AJ47" s="34"/>
      <c r="AK47" s="20"/>
      <c r="AL47" s="7"/>
      <c r="AM47" s="196"/>
      <c r="AN47" s="11"/>
      <c r="AO47" s="19"/>
      <c r="AP47" s="149">
        <f t="shared" ref="AP47:AP48" si="8">B47+F47+J47+N47+R47+V47+Z47+AD47+AH47</f>
        <v>0</v>
      </c>
      <c r="AQ47" s="8">
        <f t="shared" ref="AQ47:AQ48" si="9">C47+G47+K47+O47+S47+W47+AA47+AE47+AI47</f>
        <v>0</v>
      </c>
      <c r="AR47" s="8">
        <f t="shared" ref="AR47:AR49" si="10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0"/>
      <c r="AI48" s="200"/>
      <c r="AJ48" s="34"/>
      <c r="AK48" s="20"/>
      <c r="AL48" s="194"/>
      <c r="AM48" s="196"/>
      <c r="AN48" s="183"/>
      <c r="AO48" s="28"/>
      <c r="AP48" s="149">
        <f t="shared" si="8"/>
        <v>0</v>
      </c>
      <c r="AQ48" s="8">
        <f t="shared" si="9"/>
        <v>0</v>
      </c>
      <c r="AR48" s="8">
        <f t="shared" si="10"/>
        <v>0</v>
      </c>
      <c r="AS48" s="11"/>
    </row>
    <row r="49" spans="1:45" ht="15.75" thickBot="1" x14ac:dyDescent="0.3">
      <c r="A49" s="72" t="s">
        <v>56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81"/>
      <c r="AI49" s="73"/>
      <c r="AJ49" s="163"/>
      <c r="AK49" s="148"/>
      <c r="AL49" s="199"/>
      <c r="AM49" s="197"/>
      <c r="AN49" s="182"/>
      <c r="AO49" s="165"/>
      <c r="AP49" s="149">
        <f>B49+F49+J49+N49+R49+V49+Z49+AD49+AH49</f>
        <v>1</v>
      </c>
      <c r="AQ49" s="8">
        <f>C49+G49+K49+O49+S49+W49+AA49+AE49+AI49</f>
        <v>400</v>
      </c>
      <c r="AR49" s="8">
        <f t="shared" si="10"/>
        <v>200</v>
      </c>
      <c r="AS49" s="124">
        <f>AR49/AR50</f>
        <v>2.9088622805546954E-2</v>
      </c>
    </row>
    <row r="50" spans="1:45" s="60" customFormat="1" ht="24.75" customHeight="1" thickBot="1" x14ac:dyDescent="0.3">
      <c r="A50" s="49" t="s">
        <v>3</v>
      </c>
      <c r="B50" s="61">
        <f>SUM(B43:B49)</f>
        <v>24</v>
      </c>
      <c r="C50" s="63">
        <f>SUM(C43:C49)</f>
        <v>2327.15</v>
      </c>
      <c r="D50" s="61">
        <f>SUM(D43:D49)</f>
        <v>669.80401400000005</v>
      </c>
      <c r="E50" s="62">
        <f>SUM(E43:E49)</f>
        <v>0.99999999999999989</v>
      </c>
      <c r="F50" s="61">
        <f>SUM(F43:F49)</f>
        <v>26</v>
      </c>
      <c r="G50" s="63">
        <f>SUM(G43:G48)</f>
        <v>2578.2363</v>
      </c>
      <c r="H50" s="63">
        <f>SUM(H43:H48)</f>
        <v>1092.5822539999999</v>
      </c>
      <c r="I50" s="62">
        <f>SUM(I43:I48)</f>
        <v>0.15414034070398813</v>
      </c>
      <c r="J50" s="61">
        <f>SUM(J43:J48)</f>
        <v>29</v>
      </c>
      <c r="K50" s="63">
        <f>SUM(K43:K48)</f>
        <v>4759.2779999999993</v>
      </c>
      <c r="L50" s="63">
        <f t="shared" ref="L50:Q50" si="11">SUM(L43:L48)</f>
        <v>2219.6268359999999</v>
      </c>
      <c r="M50" s="62">
        <f t="shared" si="11"/>
        <v>0.31956138472715423</v>
      </c>
      <c r="N50" s="61">
        <f t="shared" si="11"/>
        <v>25</v>
      </c>
      <c r="O50" s="63">
        <f t="shared" si="11"/>
        <v>1703.7923960000001</v>
      </c>
      <c r="P50" s="63">
        <f t="shared" si="11"/>
        <v>746.77302899999995</v>
      </c>
      <c r="Q50" s="62">
        <f t="shared" si="11"/>
        <v>0.2150966588035825</v>
      </c>
      <c r="R50" s="61">
        <f t="shared" ref="R50:AB50" si="12">SUM(R43:R48)</f>
        <v>8</v>
      </c>
      <c r="S50" s="63">
        <f t="shared" si="12"/>
        <v>2552.4014990000001</v>
      </c>
      <c r="T50" s="63">
        <f t="shared" si="12"/>
        <v>1001.7039279999999</v>
      </c>
      <c r="U50" s="62">
        <f t="shared" si="12"/>
        <v>0.82656129009460777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6.5763706288049298E-3</v>
      </c>
      <c r="Z50" s="64">
        <f>SUM(Z43:Z48)</f>
        <v>9</v>
      </c>
      <c r="AA50" s="63">
        <f t="shared" si="12"/>
        <v>874.7</v>
      </c>
      <c r="AB50" s="63">
        <f t="shared" si="12"/>
        <v>293.92065500000001</v>
      </c>
      <c r="AC50" s="62">
        <f>SUM(AC43:AC48)</f>
        <v>5.2294103536506112E-2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3.7993486678232116E-2</v>
      </c>
      <c r="AH50" s="64">
        <f t="shared" ref="AH50:AN50" si="13">SUM(AH43:AH49)</f>
        <v>1</v>
      </c>
      <c r="AI50" s="63">
        <f>SUM(AI43:AI49)</f>
        <v>59.993000000000002</v>
      </c>
      <c r="AJ50" s="63">
        <f t="shared" si="13"/>
        <v>29.996500000000001</v>
      </c>
      <c r="AK50" s="62">
        <f t="shared" si="13"/>
        <v>1</v>
      </c>
      <c r="AL50" s="198">
        <f t="shared" si="13"/>
        <v>5</v>
      </c>
      <c r="AM50" s="198">
        <f t="shared" si="13"/>
        <v>645.5</v>
      </c>
      <c r="AN50" s="55">
        <f t="shared" si="13"/>
        <v>258.00540000000001</v>
      </c>
      <c r="AO50" s="56">
        <f>SUM(AK43:AK49)</f>
        <v>1</v>
      </c>
      <c r="AP50" s="164">
        <f>SUM(AP43:AP49)</f>
        <v>140</v>
      </c>
      <c r="AQ50" s="162">
        <f>SUM(AQ43:AQ49)</f>
        <v>16726.551195</v>
      </c>
      <c r="AR50" s="59">
        <f>SUM(AR43:AR49)</f>
        <v>6875.5403559999995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6"/>
      <c r="AR51" s="18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27" t="s">
        <v>55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7" t="s">
        <v>42</v>
      </c>
      <c r="B55" s="249" t="s">
        <v>22</v>
      </c>
      <c r="C55" s="250"/>
      <c r="D55" s="251"/>
      <c r="E55" s="102"/>
      <c r="F55" s="235" t="s">
        <v>23</v>
      </c>
      <c r="G55" s="236"/>
      <c r="H55" s="236"/>
      <c r="I55" s="239"/>
      <c r="J55" s="235" t="s">
        <v>19</v>
      </c>
      <c r="K55" s="236"/>
      <c r="L55" s="236"/>
      <c r="M55" s="237"/>
      <c r="N55" s="238" t="s">
        <v>31</v>
      </c>
      <c r="O55" s="236"/>
      <c r="P55" s="236"/>
      <c r="Q55" s="237"/>
      <c r="R55" s="234" t="s">
        <v>28</v>
      </c>
      <c r="S55" s="234"/>
      <c r="T55" s="234"/>
      <c r="U55" s="234"/>
      <c r="V55" s="235" t="s">
        <v>39</v>
      </c>
      <c r="W55" s="236"/>
      <c r="X55" s="236"/>
      <c r="Y55" s="237"/>
      <c r="Z55" s="238" t="s">
        <v>27</v>
      </c>
      <c r="AA55" s="236"/>
      <c r="AB55" s="236"/>
      <c r="AC55" s="237"/>
      <c r="AD55" s="235" t="s">
        <v>38</v>
      </c>
      <c r="AE55" s="236"/>
      <c r="AF55" s="236"/>
      <c r="AG55" s="239"/>
      <c r="AH55" s="257" t="s">
        <v>29</v>
      </c>
      <c r="AI55" s="257"/>
      <c r="AJ55" s="257"/>
      <c r="AK55" s="257"/>
      <c r="AL55" s="254" t="s">
        <v>52</v>
      </c>
      <c r="AM55" s="216"/>
      <c r="AN55" s="216"/>
      <c r="AO55" s="255"/>
      <c r="AP55" s="257" t="s">
        <v>20</v>
      </c>
      <c r="AQ55" s="257"/>
      <c r="AR55" s="257"/>
      <c r="AS55" s="258"/>
    </row>
    <row r="56" spans="1:45" s="78" customFormat="1" ht="45.75" thickBot="1" x14ac:dyDescent="0.3">
      <c r="A56" s="248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70" t="s">
        <v>2</v>
      </c>
      <c r="AE56" s="171" t="s">
        <v>30</v>
      </c>
      <c r="AF56" s="171" t="s">
        <v>36</v>
      </c>
      <c r="AG56" s="172" t="s">
        <v>5</v>
      </c>
      <c r="AH56" s="173" t="s">
        <v>2</v>
      </c>
      <c r="AI56" s="173" t="s">
        <v>30</v>
      </c>
      <c r="AJ56" s="173" t="s">
        <v>36</v>
      </c>
      <c r="AK56" s="173" t="s">
        <v>5</v>
      </c>
      <c r="AL56" s="173" t="s">
        <v>2</v>
      </c>
      <c r="AM56" s="173" t="s">
        <v>30</v>
      </c>
      <c r="AN56" s="173" t="s">
        <v>36</v>
      </c>
      <c r="AO56" s="173" t="s">
        <v>5</v>
      </c>
      <c r="AP56" s="173" t="s">
        <v>2</v>
      </c>
      <c r="AQ56" s="173" t="s">
        <v>30</v>
      </c>
      <c r="AR56" s="173" t="s">
        <v>36</v>
      </c>
      <c r="AS56" s="174" t="s">
        <v>5</v>
      </c>
    </row>
    <row r="57" spans="1:45" s="30" customFormat="1" ht="32.25" customHeight="1" x14ac:dyDescent="0.25">
      <c r="A57" s="24" t="s">
        <v>43</v>
      </c>
      <c r="B57" s="125">
        <v>2</v>
      </c>
      <c r="C57" s="132">
        <v>80.900000000000006</v>
      </c>
      <c r="D57" s="133">
        <v>40.450000000000003</v>
      </c>
      <c r="E57" s="128">
        <f>C57/C61</f>
        <v>3.4763551984186666E-2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9">
        <v>9</v>
      </c>
      <c r="K57" s="8">
        <v>1824.7935239999999</v>
      </c>
      <c r="L57" s="176">
        <v>878.13186499999995</v>
      </c>
      <c r="M57" s="114">
        <f>K57/K61</f>
        <v>0.27466097054317407</v>
      </c>
      <c r="N57" s="130">
        <v>6</v>
      </c>
      <c r="O57" s="132">
        <v>152.71</v>
      </c>
      <c r="P57" s="132">
        <v>58.354799999999997</v>
      </c>
      <c r="Q57" s="131">
        <f>O57/O61</f>
        <v>8.9106475414656938E-2</v>
      </c>
      <c r="R57" s="25">
        <v>1</v>
      </c>
      <c r="S57" s="8">
        <v>160</v>
      </c>
      <c r="T57" s="33">
        <v>80</v>
      </c>
      <c r="U57" s="18">
        <f>S57/S61</f>
        <v>6.2686062542545148E-2</v>
      </c>
      <c r="V57" s="125"/>
      <c r="W57" s="126"/>
      <c r="X57" s="126"/>
      <c r="Y57" s="131"/>
      <c r="Z57" s="25">
        <v>1</v>
      </c>
      <c r="AA57" s="8">
        <v>12.5</v>
      </c>
      <c r="AB57" s="8">
        <v>0.90039400000000003</v>
      </c>
      <c r="AC57" s="17">
        <f>AA57/AA61</f>
        <v>5.4651976215459959E-3</v>
      </c>
      <c r="AD57" s="21">
        <v>2</v>
      </c>
      <c r="AE57" s="22">
        <v>500</v>
      </c>
      <c r="AF57" s="22">
        <v>250</v>
      </c>
      <c r="AG57" s="168">
        <f>AE57/AE61</f>
        <v>0.41135335252982314</v>
      </c>
      <c r="AH57" s="21"/>
      <c r="AI57" s="22"/>
      <c r="AJ57" s="22"/>
      <c r="AK57" s="168"/>
      <c r="AL57" s="147"/>
      <c r="AM57" s="147"/>
      <c r="AN57" s="147"/>
      <c r="AO57" s="147"/>
      <c r="AP57" s="169">
        <f>B57+F57+J57+N57+R57+V57+Z57+AD57+AH57</f>
        <v>28</v>
      </c>
      <c r="AQ57" s="22">
        <f t="shared" ref="AQ57:AR57" si="14">C57+G57+K57+O57+S57+W57+AA57+AE57+AI57</f>
        <v>3553.8035239999999</v>
      </c>
      <c r="AR57" s="22">
        <f t="shared" si="14"/>
        <v>1711.287059</v>
      </c>
      <c r="AS57" s="168">
        <f>AQ57/AQ61</f>
        <v>0.14973737696918601</v>
      </c>
    </row>
    <row r="58" spans="1:45" s="30" customFormat="1" ht="24" customHeight="1" x14ac:dyDescent="0.25">
      <c r="A58" s="24" t="s">
        <v>44</v>
      </c>
      <c r="B58" s="125">
        <v>17</v>
      </c>
      <c r="C58" s="126">
        <v>1201.25</v>
      </c>
      <c r="D58" s="127">
        <v>361.84156400000001</v>
      </c>
      <c r="E58" s="128">
        <f>C58/C61</f>
        <v>0.51618933029671488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9">
        <v>21</v>
      </c>
      <c r="K58" s="126">
        <v>4226.01</v>
      </c>
      <c r="L58" s="126">
        <v>1998.950251</v>
      </c>
      <c r="M58" s="114">
        <f>K58/K61</f>
        <v>0.63608292821032564</v>
      </c>
      <c r="N58" s="130">
        <v>20</v>
      </c>
      <c r="O58" s="126">
        <v>1561.082396</v>
      </c>
      <c r="P58" s="126">
        <v>692.30572900000004</v>
      </c>
      <c r="Q58" s="131">
        <f>O58/O61</f>
        <v>0.91089352458534301</v>
      </c>
      <c r="R58" s="25">
        <v>5</v>
      </c>
      <c r="S58" s="8">
        <v>1320</v>
      </c>
      <c r="T58" s="33">
        <v>512.94899499999997</v>
      </c>
      <c r="U58" s="18">
        <f>S58/S61</f>
        <v>0.51716001597599748</v>
      </c>
      <c r="V58" s="125">
        <v>4</v>
      </c>
      <c r="W58" s="191">
        <v>3110</v>
      </c>
      <c r="X58" s="191">
        <v>1555</v>
      </c>
      <c r="Y58" s="131">
        <f>W58/W61</f>
        <v>1</v>
      </c>
      <c r="Z58" s="25">
        <v>8</v>
      </c>
      <c r="AA58" s="8">
        <v>711.7</v>
      </c>
      <c r="AB58" s="8">
        <v>251.56897000000001</v>
      </c>
      <c r="AC58" s="17">
        <f>AA58/AA61</f>
        <v>0.31116649178034284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5">
        <f>AM58/AM61</f>
        <v>0.79860573199070484</v>
      </c>
      <c r="AP58" s="169">
        <f>B58+F58+J58+N58+R58+V58+Z58+AD58+AH58+AL58</f>
        <v>107</v>
      </c>
      <c r="AQ58" s="8">
        <f>C58+G58+K58+O58+S58+W58+AA58+AE58+AI58+AM58</f>
        <v>14656.371696000002</v>
      </c>
      <c r="AR58" s="8">
        <f>D58+H58+L58+P58+T58+X58+AB58+AF58+AJ58+AN58</f>
        <v>6374.8774030000004</v>
      </c>
      <c r="AS58" s="17">
        <f>AQ58/AQ61</f>
        <v>0.61753741838105636</v>
      </c>
    </row>
    <row r="59" spans="1:45" s="30" customFormat="1" ht="25.5" customHeight="1" x14ac:dyDescent="0.25">
      <c r="A59" s="24" t="s">
        <v>45</v>
      </c>
      <c r="B59" s="125">
        <v>5</v>
      </c>
      <c r="C59" s="126">
        <v>1045</v>
      </c>
      <c r="D59" s="127">
        <v>267.51245</v>
      </c>
      <c r="E59" s="128">
        <f>C59/C61</f>
        <v>0.44904711771909844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9">
        <v>3</v>
      </c>
      <c r="K59" s="126">
        <v>593</v>
      </c>
      <c r="L59" s="126">
        <v>257.13959999999997</v>
      </c>
      <c r="M59" s="114">
        <f>K59/K61</f>
        <v>8.925610124650038E-2</v>
      </c>
      <c r="N59" s="130"/>
      <c r="O59" s="126"/>
      <c r="P59" s="126"/>
      <c r="Q59" s="131"/>
      <c r="R59" s="25">
        <v>1</v>
      </c>
      <c r="S59" s="8">
        <v>472.401499</v>
      </c>
      <c r="T59" s="33">
        <v>108.75493299999999</v>
      </c>
      <c r="U59" s="18">
        <f>S59/S61</f>
        <v>0.185081186946913</v>
      </c>
      <c r="V59" s="125"/>
      <c r="W59" s="126"/>
      <c r="X59" s="126"/>
      <c r="Y59" s="131"/>
      <c r="Z59" s="25">
        <v>1</v>
      </c>
      <c r="AA59" s="8">
        <v>163</v>
      </c>
      <c r="AB59" s="8">
        <v>42.351685000000003</v>
      </c>
      <c r="AC59" s="17">
        <f>AA59/AA61</f>
        <v>7.1266176984959781E-2</v>
      </c>
      <c r="AD59" s="14"/>
      <c r="AE59" s="8"/>
      <c r="AF59" s="8"/>
      <c r="AG59" s="17"/>
      <c r="AH59" s="14"/>
      <c r="AI59" s="8"/>
      <c r="AJ59" s="8"/>
      <c r="AK59" s="17"/>
      <c r="AL59" s="145"/>
      <c r="AM59" s="145"/>
      <c r="AN59" s="145"/>
      <c r="AO59" s="145"/>
      <c r="AP59" s="169">
        <f t="shared" ref="AP59" si="15">B59+F59+J59+N59+R59+V59+Z59+AD59+AH59</f>
        <v>12</v>
      </c>
      <c r="AQ59" s="8">
        <f>C59+G59+K59+O59+S59+W59+AA59+AE59+AI59</f>
        <v>3393.4014990000001</v>
      </c>
      <c r="AR59" s="8">
        <f>D59+H59+L59+P59+T59+X59+AB59+AF59+AJ59</f>
        <v>1193.7586679999999</v>
      </c>
      <c r="AS59" s="17">
        <f>AQ59/AQ61</f>
        <v>0.14297893398778788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0.23507273453454433</v>
      </c>
      <c r="V60" s="118"/>
      <c r="W60" s="119"/>
      <c r="X60" s="119"/>
      <c r="Y60" s="120"/>
      <c r="Z60" s="42">
        <v>1</v>
      </c>
      <c r="AA60" s="10">
        <v>1400</v>
      </c>
      <c r="AB60" s="10">
        <v>644.25196979999998</v>
      </c>
      <c r="AC60" s="19">
        <f>AA60/AA61</f>
        <v>0.61210213361315147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6">
        <f>AM60/AM61</f>
        <v>0.20139426800929511</v>
      </c>
      <c r="AP60" s="169">
        <f>B60+F60+J60+N60+R60+V60+Z60+AD60+AH60+AL60</f>
        <v>3</v>
      </c>
      <c r="AQ60" s="8">
        <f>C60+G60+K60+O60+S60+W60+AA60+AE60+AI60+AM60</f>
        <v>2130</v>
      </c>
      <c r="AR60" s="8">
        <f>D60+H60+L60+P60+T60+X60+AB60+AF60+AJ60+AN60</f>
        <v>1009.2519698</v>
      </c>
      <c r="AS60" s="17">
        <f>AQ60/AQ61</f>
        <v>8.9746270661969829E-2</v>
      </c>
    </row>
    <row r="61" spans="1:45" s="86" customFormat="1" ht="21.75" customHeight="1" thickBot="1" x14ac:dyDescent="0.3">
      <c r="A61" s="85" t="s">
        <v>3</v>
      </c>
      <c r="B61" s="94">
        <f t="shared" ref="B61:N61" si="16">SUM(B57:B60)</f>
        <v>24</v>
      </c>
      <c r="C61" s="94">
        <f t="shared" si="16"/>
        <v>2327.15</v>
      </c>
      <c r="D61" s="103">
        <f t="shared" si="16"/>
        <v>669.80401400000005</v>
      </c>
      <c r="E61" s="104">
        <f t="shared" si="16"/>
        <v>1</v>
      </c>
      <c r="F61" s="61">
        <f t="shared" si="16"/>
        <v>27</v>
      </c>
      <c r="G61" s="63">
        <f>SUM(G57:G60)</f>
        <v>3178.2363</v>
      </c>
      <c r="H61" s="63">
        <f t="shared" si="16"/>
        <v>1392.5822539999999</v>
      </c>
      <c r="I61" s="62">
        <f t="shared" si="16"/>
        <v>1</v>
      </c>
      <c r="J61" s="108">
        <f t="shared" si="16"/>
        <v>33</v>
      </c>
      <c r="K61" s="109">
        <f t="shared" si="16"/>
        <v>6643.8035239999999</v>
      </c>
      <c r="L61" s="110">
        <f t="shared" si="16"/>
        <v>3134.221716</v>
      </c>
      <c r="M61" s="56">
        <f t="shared" si="16"/>
        <v>1</v>
      </c>
      <c r="N61" s="113">
        <f t="shared" si="16"/>
        <v>26</v>
      </c>
      <c r="O61" s="112">
        <f>SUM(O57:O59)</f>
        <v>1713.7923960000001</v>
      </c>
      <c r="P61" s="107">
        <f>SUM(P57:P60)</f>
        <v>750.660529</v>
      </c>
      <c r="Q61" s="106">
        <f>SUM(Q57:Q60)</f>
        <v>1</v>
      </c>
      <c r="R61" s="55">
        <f>SUM(R57:R60)</f>
        <v>8</v>
      </c>
      <c r="S61" s="58">
        <f t="shared" ref="S61:U61" si="17">SUM(S57:S60)</f>
        <v>2552.4014990000001</v>
      </c>
      <c r="T61" s="59">
        <f t="shared" si="17"/>
        <v>1001.7039279999999</v>
      </c>
      <c r="U61" s="100">
        <f t="shared" si="17"/>
        <v>1</v>
      </c>
      <c r="V61" s="94">
        <f t="shared" ref="V61:AS61" si="18">SUM(V57:V60)</f>
        <v>4</v>
      </c>
      <c r="W61" s="121">
        <f>SUM(W57:W60)</f>
        <v>3110</v>
      </c>
      <c r="X61" s="122">
        <f>SUM(X57:X60)</f>
        <v>1555</v>
      </c>
      <c r="Y61" s="123">
        <f t="shared" si="18"/>
        <v>1</v>
      </c>
      <c r="Z61" s="55">
        <f t="shared" si="18"/>
        <v>11</v>
      </c>
      <c r="AA61" s="58">
        <f t="shared" si="18"/>
        <v>2287.1999999999998</v>
      </c>
      <c r="AB61" s="58">
        <f t="shared" si="18"/>
        <v>939.0730188</v>
      </c>
      <c r="AC61" s="54">
        <f t="shared" si="18"/>
        <v>1</v>
      </c>
      <c r="AD61" s="50">
        <f t="shared" si="18"/>
        <v>11</v>
      </c>
      <c r="AE61" s="58">
        <f t="shared" si="18"/>
        <v>1215.5</v>
      </c>
      <c r="AF61" s="58">
        <f t="shared" si="18"/>
        <v>558.12774000000002</v>
      </c>
      <c r="AG61" s="54">
        <f t="shared" si="18"/>
        <v>1</v>
      </c>
      <c r="AH61" s="50">
        <f>SUM(AH57:AH60)</f>
        <v>1</v>
      </c>
      <c r="AI61" s="58">
        <f t="shared" si="18"/>
        <v>59.993000000000002</v>
      </c>
      <c r="AJ61" s="58">
        <f t="shared" si="18"/>
        <v>29.996500000000001</v>
      </c>
      <c r="AK61" s="54">
        <f t="shared" ref="AK61:AO61" si="19">SUM(AK57:AK60)</f>
        <v>1</v>
      </c>
      <c r="AL61" s="50">
        <f>SUM(AL57:AL60)</f>
        <v>5</v>
      </c>
      <c r="AM61" s="58">
        <f>SUM(AM57:AM60)</f>
        <v>645.5</v>
      </c>
      <c r="AN61" s="58">
        <f t="shared" si="19"/>
        <v>258.00540000000001</v>
      </c>
      <c r="AO61" s="155">
        <f t="shared" si="19"/>
        <v>1</v>
      </c>
      <c r="AP61" s="184">
        <f>SUM(AP57:AP60)</f>
        <v>150</v>
      </c>
      <c r="AQ61" s="58">
        <f>SUM(AQ57:AQ60)</f>
        <v>23733.576719000001</v>
      </c>
      <c r="AR61" s="58">
        <f>SUM(AR57:AR60)</f>
        <v>10289.175099800001</v>
      </c>
      <c r="AS61" s="54">
        <f t="shared" si="18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7"/>
      <c r="AR62" s="17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9"/>
      <c r="AR63" s="179"/>
      <c r="AS63" s="2"/>
    </row>
    <row r="64" spans="1:45" x14ac:dyDescent="0.25">
      <c r="AQ64" s="175"/>
      <c r="AR64" s="175"/>
    </row>
  </sheetData>
  <mergeCells count="61"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R55:U55"/>
    <mergeCell ref="V55:Y55"/>
    <mergeCell ref="Z55:AC55"/>
    <mergeCell ref="AD55:AG55"/>
    <mergeCell ref="R41:U41"/>
    <mergeCell ref="Z41:AC41"/>
    <mergeCell ref="A54:J54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2020-07-17T06:17:33Z</dcterms:modified>
</cp:coreProperties>
</file>